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hjoissavofi-my.sharepoint.com/personal/teemu_juntunen_pohjois-savo_fi/Documents/Ennakointihankkeen tietoja/Sulevin hankkeen tiedostoja/Tausta-aineisto/"/>
    </mc:Choice>
  </mc:AlternateContent>
  <xr:revisionPtr revIDLastSave="0" documentId="8_{FCA8A140-5A14-409C-BF31-093A702C0692}" xr6:coauthVersionLast="31" xr6:coauthVersionMax="31" xr10:uidLastSave="{00000000-0000-0000-0000-000000000000}"/>
  <bookViews>
    <workbookView xWindow="0" yWindow="0" windowWidth="32914" windowHeight="14126" xr2:uid="{649912C5-E179-4354-91E3-D4F61A6C2E5D}"/>
  </bookViews>
  <sheets>
    <sheet name="Tau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C58" i="1"/>
  <c r="B58" i="1"/>
  <c r="J57" i="1"/>
  <c r="K57" i="1" s="1"/>
  <c r="L57" i="1" s="1"/>
  <c r="I57" i="1"/>
  <c r="H57" i="1"/>
  <c r="G57" i="1"/>
  <c r="E57" i="1"/>
  <c r="J56" i="1"/>
  <c r="I56" i="1"/>
  <c r="H56" i="1"/>
  <c r="G56" i="1"/>
  <c r="E56" i="1"/>
  <c r="J55" i="1"/>
  <c r="I55" i="1"/>
  <c r="H55" i="1"/>
  <c r="G55" i="1"/>
  <c r="E55" i="1"/>
  <c r="J54" i="1"/>
  <c r="I54" i="1"/>
  <c r="K54" i="1" s="1"/>
  <c r="L54" i="1" s="1"/>
  <c r="H54" i="1"/>
  <c r="G54" i="1"/>
  <c r="E54" i="1"/>
  <c r="K53" i="1"/>
  <c r="E53" i="1"/>
  <c r="J50" i="1"/>
  <c r="I50" i="1"/>
  <c r="H50" i="1"/>
  <c r="G50" i="1"/>
  <c r="J49" i="1"/>
  <c r="I49" i="1"/>
  <c r="H49" i="1"/>
  <c r="G49" i="1"/>
  <c r="E49" i="1"/>
  <c r="J48" i="1"/>
  <c r="I48" i="1"/>
  <c r="K48" i="1" s="1"/>
  <c r="L48" i="1" s="1"/>
  <c r="H48" i="1"/>
  <c r="G48" i="1"/>
  <c r="E48" i="1"/>
  <c r="K47" i="1"/>
  <c r="E47" i="1"/>
  <c r="J44" i="1"/>
  <c r="I44" i="1"/>
  <c r="H44" i="1"/>
  <c r="G44" i="1"/>
  <c r="E44" i="1"/>
  <c r="J43" i="1"/>
  <c r="I43" i="1"/>
  <c r="K43" i="1" s="1"/>
  <c r="L43" i="1" s="1"/>
  <c r="H43" i="1"/>
  <c r="G43" i="1"/>
  <c r="E43" i="1"/>
  <c r="J42" i="1"/>
  <c r="K42" i="1" s="1"/>
  <c r="I42" i="1"/>
  <c r="H42" i="1"/>
  <c r="G42" i="1"/>
  <c r="E42" i="1"/>
  <c r="K41" i="1"/>
  <c r="E41" i="1"/>
  <c r="J38" i="1"/>
  <c r="I38" i="1"/>
  <c r="H38" i="1"/>
  <c r="G38" i="1"/>
  <c r="E38" i="1"/>
  <c r="J37" i="1"/>
  <c r="I37" i="1"/>
  <c r="H37" i="1"/>
  <c r="G37" i="1"/>
  <c r="E37" i="1"/>
  <c r="J36" i="1"/>
  <c r="I36" i="1"/>
  <c r="K36" i="1" s="1"/>
  <c r="L36" i="1" s="1"/>
  <c r="H36" i="1"/>
  <c r="G36" i="1"/>
  <c r="E36" i="1"/>
  <c r="K35" i="1"/>
  <c r="E35" i="1"/>
  <c r="J32" i="1"/>
  <c r="I32" i="1"/>
  <c r="H32" i="1"/>
  <c r="G32" i="1"/>
  <c r="J31" i="1"/>
  <c r="I31" i="1"/>
  <c r="H31" i="1"/>
  <c r="G31" i="1"/>
  <c r="E31" i="1"/>
  <c r="J30" i="1"/>
  <c r="I30" i="1"/>
  <c r="K30" i="1" s="1"/>
  <c r="L30" i="1" s="1"/>
  <c r="H30" i="1"/>
  <c r="G30" i="1"/>
  <c r="E30" i="1"/>
  <c r="K29" i="1"/>
  <c r="E29" i="1"/>
  <c r="J26" i="1"/>
  <c r="I26" i="1"/>
  <c r="H26" i="1"/>
  <c r="G26" i="1"/>
  <c r="E26" i="1"/>
  <c r="J25" i="1"/>
  <c r="I25" i="1"/>
  <c r="H25" i="1"/>
  <c r="G25" i="1"/>
  <c r="E25" i="1"/>
  <c r="J24" i="1"/>
  <c r="I24" i="1"/>
  <c r="H24" i="1"/>
  <c r="G24" i="1"/>
  <c r="E24" i="1"/>
  <c r="K23" i="1"/>
  <c r="E23" i="1"/>
  <c r="J20" i="1"/>
  <c r="I20" i="1"/>
  <c r="K20" i="1" s="1"/>
  <c r="L20" i="1" s="1"/>
  <c r="H20" i="1"/>
  <c r="G20" i="1"/>
  <c r="E20" i="1"/>
  <c r="J19" i="1"/>
  <c r="I19" i="1"/>
  <c r="K19" i="1" s="1"/>
  <c r="L19" i="1" s="1"/>
  <c r="H19" i="1"/>
  <c r="G19" i="1"/>
  <c r="E19" i="1"/>
  <c r="J18" i="1"/>
  <c r="I18" i="1"/>
  <c r="H18" i="1"/>
  <c r="G18" i="1"/>
  <c r="E18" i="1"/>
  <c r="K17" i="1"/>
  <c r="L17" i="1" s="1"/>
  <c r="E17" i="1"/>
  <c r="J14" i="1"/>
  <c r="I14" i="1"/>
  <c r="K14" i="1" s="1"/>
  <c r="L14" i="1" s="1"/>
  <c r="H14" i="1"/>
  <c r="G14" i="1"/>
  <c r="E14" i="1"/>
  <c r="J13" i="1"/>
  <c r="I13" i="1"/>
  <c r="K13" i="1" s="1"/>
  <c r="L13" i="1" s="1"/>
  <c r="H13" i="1"/>
  <c r="G13" i="1"/>
  <c r="E13" i="1"/>
  <c r="J12" i="1"/>
  <c r="I12" i="1"/>
  <c r="H12" i="1"/>
  <c r="G12" i="1"/>
  <c r="E12" i="1"/>
  <c r="K11" i="1"/>
  <c r="E11" i="1"/>
  <c r="J8" i="1"/>
  <c r="I8" i="1"/>
  <c r="K8" i="1" s="1"/>
  <c r="L8" i="1" s="1"/>
  <c r="H8" i="1"/>
  <c r="G8" i="1"/>
  <c r="E8" i="1"/>
  <c r="K7" i="1"/>
  <c r="L7" i="1" s="1"/>
  <c r="J7" i="1"/>
  <c r="I7" i="1"/>
  <c r="H7" i="1"/>
  <c r="G7" i="1"/>
  <c r="E7" i="1"/>
  <c r="J6" i="1"/>
  <c r="I6" i="1"/>
  <c r="H6" i="1"/>
  <c r="H58" i="1" s="1"/>
  <c r="G6" i="1"/>
  <c r="E6" i="1"/>
  <c r="K5" i="1"/>
  <c r="E5" i="1"/>
  <c r="L23" i="1" l="1"/>
  <c r="L29" i="1"/>
  <c r="K55" i="1"/>
  <c r="L55" i="1" s="1"/>
  <c r="L11" i="1"/>
  <c r="K25" i="1"/>
  <c r="L25" i="1" s="1"/>
  <c r="K26" i="1"/>
  <c r="L26" i="1" s="1"/>
  <c r="K31" i="1"/>
  <c r="L31" i="1" s="1"/>
  <c r="K56" i="1"/>
  <c r="L56" i="1" s="1"/>
  <c r="L42" i="1"/>
  <c r="K58" i="1"/>
  <c r="K24" i="1"/>
  <c r="L24" i="1" s="1"/>
  <c r="K37" i="1"/>
  <c r="L37" i="1" s="1"/>
  <c r="K49" i="1"/>
  <c r="L49" i="1" s="1"/>
  <c r="L5" i="1"/>
  <c r="I58" i="1"/>
  <c r="L53" i="1"/>
  <c r="J58" i="1"/>
  <c r="K12" i="1"/>
  <c r="L12" i="1" s="1"/>
  <c r="L35" i="1"/>
  <c r="L41" i="1"/>
  <c r="L47" i="1"/>
  <c r="K50" i="1"/>
  <c r="L50" i="1" s="1"/>
  <c r="E58" i="1"/>
  <c r="G58" i="1"/>
  <c r="K18" i="1"/>
  <c r="L18" i="1" s="1"/>
  <c r="K32" i="1"/>
  <c r="L32" i="1" s="1"/>
  <c r="K38" i="1"/>
  <c r="L38" i="1" s="1"/>
  <c r="K44" i="1"/>
  <c r="L44" i="1" s="1"/>
  <c r="K6" i="1"/>
  <c r="L6" i="1" s="1"/>
  <c r="L58" i="1" l="1"/>
</calcChain>
</file>

<file path=xl/sharedStrings.xml><?xml version="1.0" encoding="utf-8"?>
<sst xmlns="http://schemas.openxmlformats.org/spreadsheetml/2006/main" count="60" uniqueCount="27">
  <si>
    <t>Koulutus</t>
  </si>
  <si>
    <t>Uudet
opiskelijat</t>
  </si>
  <si>
    <t>Opiskelijat
yhteensä</t>
  </si>
  <si>
    <t>Tutkinnan
suorittaneet</t>
  </si>
  <si>
    <t>KA.</t>
  </si>
  <si>
    <t>SÄILYTTÄVÄ SKENAARIO ELÄKEIKÄ 65</t>
  </si>
  <si>
    <t>ELINVOIMAA SKENAARIO ELÄKEIKÄ 65</t>
  </si>
  <si>
    <t>SÄILYTTÄVÄ SKENAARIO ELÄKEIKÄ 62</t>
  </si>
  <si>
    <t>ELINVOIMAA SKENAARIO ELÄKEIKÄ 62</t>
  </si>
  <si>
    <t>Humanistinen ja kasvatusala</t>
  </si>
  <si>
    <t>Yhteensä</t>
  </si>
  <si>
    <t>Ammatillnen koulutus</t>
  </si>
  <si>
    <t>Amk-koulutus</t>
  </si>
  <si>
    <t>Yliopistokoulutus</t>
  </si>
  <si>
    <t>Kulttuuriala</t>
  </si>
  <si>
    <t>Yhteiskuntatieteiden, liiketalouden ja hallinnon ala</t>
  </si>
  <si>
    <t>Luonnotieteiden ala</t>
  </si>
  <si>
    <t>Tekniikan ja liikenteen ala</t>
  </si>
  <si>
    <t>Luonnonvara- ja ympäristöala</t>
  </si>
  <si>
    <t>Sosiaali-, terveys- ja liikunta-ala</t>
  </si>
  <si>
    <t>Matkailu-, ravitsemis- ja talousala</t>
  </si>
  <si>
    <t>Muu koulutus</t>
  </si>
  <si>
    <t>Muu koulutus tai ei tutkintoa</t>
  </si>
  <si>
    <t>YHTEENSÄ</t>
  </si>
  <si>
    <t>OPISKELUTIEDOT VUODELTA 2016</t>
  </si>
  <si>
    <t>ARVIO KOULUTUSTARPEEN MUUTOKSESTA ERI SKENAARIOISSA</t>
  </si>
  <si>
    <t>KOKONAISARVIO KOULUTUSTARPEEN MUUTOKSESTA VUOTEEN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</si>
</sst>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wrapText="1" indent="2"/>
    </xf>
    <xf numFmtId="164" fontId="2" fillId="0" borderId="6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wrapText="1" indent="2"/>
    </xf>
    <xf numFmtId="164" fontId="0" fillId="0" borderId="6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5" fillId="0" borderId="6" xfId="1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 indent="1"/>
    </xf>
    <xf numFmtId="9" fontId="3" fillId="3" borderId="2" xfId="1" applyFont="1" applyFill="1" applyBorder="1" applyAlignment="1">
      <alignment horizontal="center" vertical="center" wrapText="1"/>
    </xf>
    <xf numFmtId="9" fontId="3" fillId="3" borderId="3" xfId="1" applyFont="1" applyFill="1" applyBorder="1" applyAlignment="1">
      <alignment horizontal="center" vertical="center" wrapText="1"/>
    </xf>
    <xf numFmtId="9" fontId="3" fillId="3" borderId="4" xfId="1" applyFont="1" applyFill="1" applyBorder="1" applyAlignment="1">
      <alignment horizontal="center" vertical="center" wrapText="1"/>
    </xf>
    <xf numFmtId="9" fontId="3" fillId="3" borderId="2" xfId="1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/>
    </xf>
    <xf numFmtId="9" fontId="3" fillId="3" borderId="4" xfId="1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0" fontId="0" fillId="4" borderId="0" xfId="0" applyFill="1" applyBorder="1"/>
    <xf numFmtId="0" fontId="3" fillId="4" borderId="3" xfId="0" applyFont="1" applyFill="1" applyBorder="1" applyAlignment="1">
      <alignment horizontal="center" vertical="center" wrapText="1"/>
    </xf>
    <xf numFmtId="164" fontId="2" fillId="4" borderId="0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9" fontId="3" fillId="4" borderId="3" xfId="1" applyFont="1" applyFill="1" applyBorder="1" applyAlignment="1">
      <alignment horizontal="center" vertical="center" wrapText="1"/>
    </xf>
    <xf numFmtId="0" fontId="0" fillId="4" borderId="0" xfId="0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3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2" xfId="0" applyFont="1" applyFill="1" applyBorder="1" applyAlignment="1"/>
    <xf numFmtId="164" fontId="0" fillId="5" borderId="5" xfId="0" applyNumberFormat="1" applyFill="1" applyBorder="1" applyAlignment="1">
      <alignment horizontal="center"/>
    </xf>
    <xf numFmtId="0" fontId="3" fillId="5" borderId="8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</cellXfs>
  <cellStyles count="2">
    <cellStyle name="Normaali" xfId="0" builtinId="0"/>
    <cellStyle name="Prosentti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C48B-F406-4DED-B966-4151A4D95870}">
  <dimension ref="A1:L58"/>
  <sheetViews>
    <sheetView tabSelected="1" workbookViewId="0">
      <selection activeCell="P16" sqref="P16"/>
    </sheetView>
  </sheetViews>
  <sheetFormatPr defaultRowHeight="14.6" x14ac:dyDescent="0.4"/>
  <cols>
    <col min="1" max="1" width="26.3828125" customWidth="1"/>
    <col min="2" max="5" width="10.23046875" customWidth="1"/>
    <col min="6" max="6" width="4.765625" style="41" customWidth="1"/>
    <col min="7" max="10" width="12.15234375" customWidth="1"/>
    <col min="11" max="11" width="9.69140625" customWidth="1"/>
    <col min="12" max="12" width="15.4609375" customWidth="1"/>
  </cols>
  <sheetData>
    <row r="1" spans="1:12" ht="1.75" customHeight="1" x14ac:dyDescent="0.4">
      <c r="A1" s="1"/>
      <c r="B1" s="2"/>
      <c r="C1" s="2"/>
      <c r="D1" s="2"/>
      <c r="E1" s="2"/>
      <c r="F1" s="36"/>
      <c r="G1" s="3">
        <v>24755</v>
      </c>
      <c r="H1" s="3">
        <v>32660</v>
      </c>
      <c r="I1" s="3">
        <v>32762</v>
      </c>
      <c r="J1" s="3">
        <v>40669</v>
      </c>
      <c r="K1" s="2"/>
      <c r="L1" s="4" t="s">
        <v>0</v>
      </c>
    </row>
    <row r="2" spans="1:12" x14ac:dyDescent="0.4">
      <c r="A2" s="42"/>
      <c r="B2" s="47" t="s">
        <v>24</v>
      </c>
      <c r="C2" s="45"/>
      <c r="D2" s="45"/>
      <c r="E2" s="46"/>
      <c r="F2" s="43"/>
      <c r="G2" s="44" t="s">
        <v>25</v>
      </c>
      <c r="H2" s="45"/>
      <c r="I2" s="45"/>
      <c r="J2" s="45"/>
      <c r="K2" s="46"/>
      <c r="L2" s="49" t="s">
        <v>26</v>
      </c>
    </row>
    <row r="3" spans="1:12" ht="57.45" customHeight="1" x14ac:dyDescent="0.4">
      <c r="A3" s="5">
        <v>2016</v>
      </c>
      <c r="B3" s="6" t="s">
        <v>1</v>
      </c>
      <c r="C3" s="7" t="s">
        <v>2</v>
      </c>
      <c r="D3" s="7" t="s">
        <v>3</v>
      </c>
      <c r="E3" s="8" t="s">
        <v>4</v>
      </c>
      <c r="F3" s="37"/>
      <c r="G3" s="6" t="s">
        <v>5</v>
      </c>
      <c r="H3" s="6" t="s">
        <v>6</v>
      </c>
      <c r="I3" s="6" t="s">
        <v>7</v>
      </c>
      <c r="J3" s="6" t="s">
        <v>8</v>
      </c>
      <c r="K3" s="9" t="s">
        <v>4</v>
      </c>
      <c r="L3" s="50"/>
    </row>
    <row r="4" spans="1:12" ht="14.25" customHeight="1" x14ac:dyDescent="0.4">
      <c r="A4" s="10" t="s">
        <v>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ht="14.25" customHeight="1" x14ac:dyDescent="0.4">
      <c r="A5" s="13" t="s">
        <v>10</v>
      </c>
      <c r="B5" s="14">
        <v>2.4831938537522295E-2</v>
      </c>
      <c r="C5" s="15">
        <v>2.1422450728363324E-2</v>
      </c>
      <c r="D5" s="15">
        <v>2.542803865061875E-2</v>
      </c>
      <c r="E5" s="16">
        <f>AVERAGE(B5:D5)</f>
        <v>2.3894142638834787E-2</v>
      </c>
      <c r="F5" s="38"/>
      <c r="G5" s="14">
        <v>0.04</v>
      </c>
      <c r="H5" s="15">
        <v>4.2000000000000003E-2</v>
      </c>
      <c r="I5" s="15">
        <v>4.2999999999999997E-2</v>
      </c>
      <c r="J5" s="15">
        <v>4.3999999999999997E-2</v>
      </c>
      <c r="K5" s="17">
        <f>AVERAGE(I5:J5)</f>
        <v>4.3499999999999997E-2</v>
      </c>
      <c r="L5" s="48">
        <f>K5-E5</f>
        <v>1.960585736116521E-2</v>
      </c>
    </row>
    <row r="6" spans="1:12" ht="14.25" customHeight="1" x14ac:dyDescent="0.4">
      <c r="A6" s="18" t="s">
        <v>11</v>
      </c>
      <c r="B6" s="19">
        <v>1.9481410344354508E-2</v>
      </c>
      <c r="C6" s="20">
        <v>1.3476669003661292E-2</v>
      </c>
      <c r="D6" s="20">
        <v>1.7969147313103916E-2</v>
      </c>
      <c r="E6" s="16">
        <f t="shared" ref="E6:E8" si="0">AVERAGE(B6:D6)</f>
        <v>1.6975742220373239E-2</v>
      </c>
      <c r="F6" s="38"/>
      <c r="G6" s="19">
        <f>114/$G$1</f>
        <v>4.6051302767117757E-3</v>
      </c>
      <c r="H6" s="20">
        <f>215/$H$1</f>
        <v>6.5829761175750156E-3</v>
      </c>
      <c r="I6" s="20">
        <f>152/$I$1</f>
        <v>4.6395213967401257E-3</v>
      </c>
      <c r="J6" s="20">
        <f>271/$J$1</f>
        <v>6.6635520912734511E-3</v>
      </c>
      <c r="K6" s="17">
        <f>AVERAGE(I6:J6)</f>
        <v>5.6515367440067889E-3</v>
      </c>
      <c r="L6" s="48">
        <f t="shared" ref="L6:L8" si="1">K6-E6</f>
        <v>-1.132420547636645E-2</v>
      </c>
    </row>
    <row r="7" spans="1:12" ht="14.25" customHeight="1" x14ac:dyDescent="0.4">
      <c r="A7" s="18" t="s">
        <v>12</v>
      </c>
      <c r="B7" s="19">
        <v>5.3505281931677867E-3</v>
      </c>
      <c r="C7" s="20">
        <v>7.4394328893043543E-3</v>
      </c>
      <c r="D7" s="20">
        <v>7.1198508221732501E-3</v>
      </c>
      <c r="E7" s="16">
        <f t="shared" si="0"/>
        <v>6.6366039682151309E-3</v>
      </c>
      <c r="F7" s="38"/>
      <c r="G7" s="19">
        <f>67/$G$1</f>
        <v>2.706523934558675E-3</v>
      </c>
      <c r="H7" s="20">
        <f>119/$H$1</f>
        <v>3.6436007348438458E-3</v>
      </c>
      <c r="I7" s="20">
        <f>89/I1</f>
        <v>2.7165618704596789E-3</v>
      </c>
      <c r="J7" s="20">
        <f>150/$J$1</f>
        <v>3.6883129656495118E-3</v>
      </c>
      <c r="K7" s="17">
        <f>AVERAGE(I7:J7)</f>
        <v>3.2024374180545951E-3</v>
      </c>
      <c r="L7" s="48">
        <f t="shared" si="1"/>
        <v>-3.4341665501605358E-3</v>
      </c>
    </row>
    <row r="8" spans="1:12" ht="14.25" customHeight="1" x14ac:dyDescent="0.4">
      <c r="A8" s="18" t="s">
        <v>13</v>
      </c>
      <c r="B8" s="21"/>
      <c r="C8" s="20">
        <v>5.0634883539767855E-4</v>
      </c>
      <c r="D8" s="20">
        <v>3.390405153415833E-4</v>
      </c>
      <c r="E8" s="16">
        <f t="shared" si="0"/>
        <v>4.2269467536963092E-4</v>
      </c>
      <c r="F8" s="38"/>
      <c r="G8" s="19">
        <f>810/$G$1</f>
        <v>3.2720662492425771E-2</v>
      </c>
      <c r="H8" s="20">
        <f>1052/$H$1</f>
        <v>3.22106552357624E-2</v>
      </c>
      <c r="I8" s="20">
        <f>1154/I1</f>
        <v>3.5223734814724378E-2</v>
      </c>
      <c r="J8" s="20">
        <f>1385/$J$1</f>
        <v>3.4055423049497158E-2</v>
      </c>
      <c r="K8" s="17">
        <f>AVERAGE(I8:J8)</f>
        <v>3.4639578932110768E-2</v>
      </c>
      <c r="L8" s="48">
        <f t="shared" si="1"/>
        <v>3.4216884256741138E-2</v>
      </c>
    </row>
    <row r="9" spans="1:12" ht="14.25" customHeight="1" x14ac:dyDescent="0.4">
      <c r="A9" s="18"/>
      <c r="B9" s="22"/>
      <c r="C9" s="4"/>
      <c r="D9" s="4"/>
      <c r="E9" s="23"/>
      <c r="F9" s="39"/>
      <c r="G9" s="22"/>
      <c r="H9" s="4"/>
      <c r="I9" s="4"/>
      <c r="J9" s="4"/>
      <c r="K9" s="24"/>
      <c r="L9" s="48"/>
    </row>
    <row r="10" spans="1:12" ht="14.25" customHeight="1" x14ac:dyDescent="0.4">
      <c r="A10" s="10" t="s">
        <v>14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</row>
    <row r="11" spans="1:12" ht="14.25" customHeight="1" x14ac:dyDescent="0.4">
      <c r="A11" s="13" t="s">
        <v>10</v>
      </c>
      <c r="B11" s="14">
        <v>4.7468788585539858E-2</v>
      </c>
      <c r="C11" s="15">
        <v>4.3195450650463506E-2</v>
      </c>
      <c r="D11" s="15">
        <v>3.983726055263604E-2</v>
      </c>
      <c r="E11" s="16">
        <f>AVERAGE(B11:D11)</f>
        <v>4.3500499929546466E-2</v>
      </c>
      <c r="F11" s="38"/>
      <c r="G11" s="14">
        <v>2.5999999999999999E-2</v>
      </c>
      <c r="H11" s="15">
        <v>2.8000000000000001E-2</v>
      </c>
      <c r="I11" s="15">
        <v>2.7E-2</v>
      </c>
      <c r="J11" s="15">
        <v>2.8000000000000001E-2</v>
      </c>
      <c r="K11" s="17">
        <f>AVERAGE(I11:J11)</f>
        <v>2.75E-2</v>
      </c>
      <c r="L11" s="48">
        <f>K11-E11</f>
        <v>-1.6000499929546465E-2</v>
      </c>
    </row>
    <row r="12" spans="1:12" ht="14.25" customHeight="1" x14ac:dyDescent="0.4">
      <c r="A12" s="18" t="s">
        <v>11</v>
      </c>
      <c r="B12" s="19">
        <v>2.6066675812868707E-2</v>
      </c>
      <c r="C12" s="20">
        <v>1.5774713718158449E-2</v>
      </c>
      <c r="D12" s="20">
        <v>2.2376674012544499E-2</v>
      </c>
      <c r="E12" s="16">
        <f t="shared" ref="E12:E14" si="2">AVERAGE(B12:D12)</f>
        <v>2.1406021181190549E-2</v>
      </c>
      <c r="F12" s="38"/>
      <c r="G12" s="19">
        <f>242/$G$1</f>
        <v>9.7758028681074523E-3</v>
      </c>
      <c r="H12" s="20">
        <f>345/$H$1</f>
        <v>1.0563380281690141E-2</v>
      </c>
      <c r="I12" s="20">
        <f>315/I1</f>
        <v>9.6147976314022339E-3</v>
      </c>
      <c r="J12" s="20">
        <f>424/$J$1</f>
        <v>1.0425631316235954E-2</v>
      </c>
      <c r="K12" s="17">
        <f>AVERAGE(I12:J12)</f>
        <v>1.0020214473819095E-2</v>
      </c>
      <c r="L12" s="48">
        <f t="shared" ref="L12:L14" si="3">K12-E12</f>
        <v>-1.1385806707371455E-2</v>
      </c>
    </row>
    <row r="13" spans="1:12" ht="14.25" customHeight="1" x14ac:dyDescent="0.4">
      <c r="A13" s="18" t="s">
        <v>12</v>
      </c>
      <c r="B13" s="19">
        <v>1.9892989436136644E-2</v>
      </c>
      <c r="C13" s="20">
        <v>2.4382643919918984E-2</v>
      </c>
      <c r="D13" s="20">
        <v>1.4409221902017291E-2</v>
      </c>
      <c r="E13" s="16">
        <f t="shared" si="2"/>
        <v>1.9561618419357638E-2</v>
      </c>
      <c r="F13" s="38"/>
      <c r="G13" s="19">
        <f>208/$G$1</f>
        <v>8.4023429610179754E-3</v>
      </c>
      <c r="H13" s="20">
        <f>296/$H$1</f>
        <v>9.0630740967544404E-3</v>
      </c>
      <c r="I13" s="20">
        <f>285/I1</f>
        <v>8.6991026188877364E-3</v>
      </c>
      <c r="J13" s="20">
        <f>377/$J$1</f>
        <v>9.26995992033244E-3</v>
      </c>
      <c r="K13" s="17">
        <f>AVERAGE(I13:J13)</f>
        <v>8.9845312696100882E-3</v>
      </c>
      <c r="L13" s="48">
        <f t="shared" si="3"/>
        <v>-1.057708714974755E-2</v>
      </c>
    </row>
    <row r="14" spans="1:12" ht="14.25" customHeight="1" x14ac:dyDescent="0.4">
      <c r="A14" s="18" t="s">
        <v>13</v>
      </c>
      <c r="B14" s="21">
        <v>1.5091233365345041E-3</v>
      </c>
      <c r="C14" s="20">
        <v>3.0380930123860717E-3</v>
      </c>
      <c r="D14" s="20">
        <v>3.0513646380742497E-3</v>
      </c>
      <c r="E14" s="16">
        <f t="shared" si="2"/>
        <v>2.5328603289982753E-3</v>
      </c>
      <c r="F14" s="38"/>
      <c r="G14" s="19">
        <f>195/$G$1</f>
        <v>7.8771965259543525E-3</v>
      </c>
      <c r="H14" s="20">
        <f>277/$H$1</f>
        <v>8.4813227189222285E-3</v>
      </c>
      <c r="I14" s="20">
        <f>271/I1</f>
        <v>8.2717782797143025E-3</v>
      </c>
      <c r="J14" s="20">
        <f>356/$J$1</f>
        <v>8.753596105141509E-3</v>
      </c>
      <c r="K14" s="17">
        <f>AVERAGE(I14:J14)</f>
        <v>8.5126871924279049E-3</v>
      </c>
      <c r="L14" s="48">
        <f t="shared" si="3"/>
        <v>5.9798268634296296E-3</v>
      </c>
    </row>
    <row r="15" spans="1:12" ht="14.25" customHeight="1" x14ac:dyDescent="0.4">
      <c r="A15" s="18"/>
      <c r="B15" s="22"/>
      <c r="C15" s="4"/>
      <c r="D15" s="4"/>
      <c r="E15" s="23"/>
      <c r="F15" s="39"/>
      <c r="G15" s="22"/>
      <c r="H15" s="4"/>
      <c r="I15" s="4"/>
      <c r="J15" s="4"/>
      <c r="K15" s="24"/>
      <c r="L15" s="48"/>
    </row>
    <row r="16" spans="1:12" ht="14.25" customHeight="1" x14ac:dyDescent="0.4">
      <c r="A16" s="10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spans="1:12" ht="14.25" customHeight="1" x14ac:dyDescent="0.4">
      <c r="A17" s="13" t="s">
        <v>10</v>
      </c>
      <c r="B17" s="14">
        <v>0.16984497187542874</v>
      </c>
      <c r="C17" s="15">
        <v>0.17983173638700631</v>
      </c>
      <c r="D17" s="15">
        <v>0.18189523648075945</v>
      </c>
      <c r="E17" s="16">
        <f>AVERAGE(B17:D17)</f>
        <v>0.17719064824773148</v>
      </c>
      <c r="F17" s="38"/>
      <c r="G17" s="14">
        <v>0.12</v>
      </c>
      <c r="H17" s="15">
        <v>0.128</v>
      </c>
      <c r="I17" s="15">
        <v>0.125</v>
      </c>
      <c r="J17" s="15">
        <v>0.13200000000000001</v>
      </c>
      <c r="K17" s="17">
        <f>AVERAGE(I17:J17)</f>
        <v>0.1285</v>
      </c>
      <c r="L17" s="48">
        <f>K17-E17</f>
        <v>-4.8690648247731477E-2</v>
      </c>
    </row>
    <row r="18" spans="1:12" ht="14.25" customHeight="1" x14ac:dyDescent="0.4">
      <c r="A18" s="18" t="s">
        <v>11</v>
      </c>
      <c r="B18" s="19">
        <v>0.10426670325147483</v>
      </c>
      <c r="C18" s="20">
        <v>7.560177611591494E-2</v>
      </c>
      <c r="D18" s="20">
        <v>9.6457026614680461E-2</v>
      </c>
      <c r="E18" s="16">
        <f t="shared" ref="E18:E20" si="4">AVERAGE(B18:D18)</f>
        <v>9.2108501994023415E-2</v>
      </c>
      <c r="F18" s="38"/>
      <c r="G18" s="19">
        <f>1194/$G$1</f>
        <v>4.8232680266612808E-2</v>
      </c>
      <c r="H18" s="20">
        <f>1785/$H$1</f>
        <v>5.4654011022657684E-2</v>
      </c>
      <c r="I18" s="20">
        <f>1660/$I$1</f>
        <v>5.0668457359135582E-2</v>
      </c>
      <c r="J18" s="20">
        <f>2291/$J$1</f>
        <v>5.6332833362020211E-2</v>
      </c>
      <c r="K18" s="17">
        <f>AVERAGE(I18:J18)</f>
        <v>5.35006453605779E-2</v>
      </c>
      <c r="L18" s="48">
        <f t="shared" ref="L18:L20" si="5">K18-E18</f>
        <v>-3.8607856633445514E-2</v>
      </c>
    </row>
    <row r="19" spans="1:12" ht="14.25" customHeight="1" x14ac:dyDescent="0.4">
      <c r="A19" s="18" t="s">
        <v>12</v>
      </c>
      <c r="B19" s="19">
        <v>3.6218960076828094E-2</v>
      </c>
      <c r="C19" s="20">
        <v>3.6418166238217649E-2</v>
      </c>
      <c r="D19" s="20">
        <v>2.6106119681301915E-2</v>
      </c>
      <c r="E19" s="16">
        <f t="shared" si="4"/>
        <v>3.2914415332115886E-2</v>
      </c>
      <c r="F19" s="38"/>
      <c r="G19" s="19">
        <f>1065/$G$1</f>
        <v>4.3021611795596847E-2</v>
      </c>
      <c r="H19" s="20">
        <f>1518/$H$1</f>
        <v>4.647887323943662E-2</v>
      </c>
      <c r="I19" s="20">
        <f>1481/$I$1</f>
        <v>4.5204810451132407E-2</v>
      </c>
      <c r="J19" s="20">
        <f>1953/$J$1</f>
        <v>4.8021834812756646E-2</v>
      </c>
      <c r="K19" s="17">
        <f>AVERAGE(I19:J19)</f>
        <v>4.6613322631944523E-2</v>
      </c>
      <c r="L19" s="48">
        <f t="shared" si="5"/>
        <v>1.3698907299828637E-2</v>
      </c>
    </row>
    <row r="20" spans="1:12" ht="14.25" customHeight="1" x14ac:dyDescent="0.4">
      <c r="A20" s="18" t="s">
        <v>13</v>
      </c>
      <c r="B20" s="21">
        <v>2.9359308547125807E-2</v>
      </c>
      <c r="C20" s="20">
        <v>6.7811794032873726E-2</v>
      </c>
      <c r="D20" s="20">
        <v>5.933209018477708E-2</v>
      </c>
      <c r="E20" s="16">
        <f t="shared" si="4"/>
        <v>5.2167730921592208E-2</v>
      </c>
      <c r="F20" s="38"/>
      <c r="G20" s="19">
        <f>707/$G$1</f>
        <v>2.8559886891537063E-2</v>
      </c>
      <c r="H20" s="20">
        <f>890/$H$1</f>
        <v>2.7250459277403553E-2</v>
      </c>
      <c r="I20" s="20">
        <f>965/$I$1</f>
        <v>2.9454856235883037E-2</v>
      </c>
      <c r="J20" s="20">
        <f>1138/$J$1</f>
        <v>2.7982001032727629E-2</v>
      </c>
      <c r="K20" s="17">
        <f>AVERAGE(I20:J20)</f>
        <v>2.8718428634305335E-2</v>
      </c>
      <c r="L20" s="48">
        <f t="shared" si="5"/>
        <v>-2.3449302287286873E-2</v>
      </c>
    </row>
    <row r="21" spans="1:12" ht="14.25" customHeight="1" x14ac:dyDescent="0.4">
      <c r="A21" s="18"/>
      <c r="B21" s="22"/>
      <c r="C21" s="4"/>
      <c r="D21" s="4"/>
      <c r="E21" s="23"/>
      <c r="F21" s="39"/>
      <c r="G21" s="22"/>
      <c r="H21" s="4"/>
      <c r="I21" s="4"/>
      <c r="J21" s="4"/>
      <c r="K21" s="24"/>
      <c r="L21" s="48"/>
    </row>
    <row r="22" spans="1:12" ht="14.25" customHeight="1" x14ac:dyDescent="0.4">
      <c r="A22" s="10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ht="14.25" customHeight="1" x14ac:dyDescent="0.4">
      <c r="A23" s="13" t="s">
        <v>10</v>
      </c>
      <c r="B23" s="14">
        <v>2.4145973384552065E-2</v>
      </c>
      <c r="C23" s="15">
        <v>4.3234400560878711E-2</v>
      </c>
      <c r="D23" s="15">
        <v>2.8818443804034581E-2</v>
      </c>
      <c r="E23" s="16">
        <f>AVERAGE(B23:D23)</f>
        <v>3.2066272583155121E-2</v>
      </c>
      <c r="F23" s="38"/>
      <c r="G23" s="14">
        <v>2.8000000000000001E-2</v>
      </c>
      <c r="H23" s="15">
        <v>2.5999999999999999E-2</v>
      </c>
      <c r="I23" s="15">
        <v>2.9000000000000001E-2</v>
      </c>
      <c r="J23" s="15">
        <v>2.7E-2</v>
      </c>
      <c r="K23" s="17">
        <f>AVERAGE(I23:J23)</f>
        <v>2.8000000000000001E-2</v>
      </c>
      <c r="L23" s="48">
        <f>K23-E23</f>
        <v>-4.0662725831551207E-3</v>
      </c>
    </row>
    <row r="24" spans="1:12" ht="14.25" customHeight="1" x14ac:dyDescent="0.4">
      <c r="A24" s="18" t="s">
        <v>11</v>
      </c>
      <c r="B24" s="19">
        <v>6.8596515297022912E-3</v>
      </c>
      <c r="C24" s="20">
        <v>5.3361377268832284E-3</v>
      </c>
      <c r="D24" s="20">
        <v>4.2380064417697916E-3</v>
      </c>
      <c r="E24" s="16">
        <f t="shared" ref="E24:E26" si="6">AVERAGE(B24:D24)</f>
        <v>5.477931899451771E-3</v>
      </c>
      <c r="F24" s="38"/>
      <c r="G24" s="19">
        <f>96/$G$1</f>
        <v>3.8780044435467583E-3</v>
      </c>
      <c r="H24" s="20">
        <f>146/$H$1</f>
        <v>4.4703000612369868E-3</v>
      </c>
      <c r="I24" s="20">
        <f>132/$I$1</f>
        <v>4.0290580550637932E-3</v>
      </c>
      <c r="J24" s="20">
        <f>184/$J$1</f>
        <v>4.5243305711967349E-3</v>
      </c>
      <c r="K24" s="17">
        <f>AVERAGE(I24:J24)</f>
        <v>4.2766943131302641E-3</v>
      </c>
      <c r="L24" s="48">
        <f t="shared" ref="L24:L26" si="7">K24-E24</f>
        <v>-1.2012375863215069E-3</v>
      </c>
    </row>
    <row r="25" spans="1:12" ht="14.25" customHeight="1" x14ac:dyDescent="0.4">
      <c r="A25" s="18" t="s">
        <v>12</v>
      </c>
      <c r="B25" s="19">
        <v>0</v>
      </c>
      <c r="C25" s="20">
        <v>0</v>
      </c>
      <c r="D25" s="20">
        <v>0</v>
      </c>
      <c r="E25" s="16">
        <f t="shared" si="6"/>
        <v>0</v>
      </c>
      <c r="F25" s="38"/>
      <c r="G25" s="19">
        <f>179/$G$1</f>
        <v>7.2308624520298929E-3</v>
      </c>
      <c r="H25" s="20">
        <f>222/$H$1</f>
        <v>6.7973055725658298E-3</v>
      </c>
      <c r="I25" s="20">
        <f>246/$I$1</f>
        <v>7.508699102618888E-3</v>
      </c>
      <c r="J25" s="20">
        <f>284/$J$1</f>
        <v>6.9832058816297424E-3</v>
      </c>
      <c r="K25" s="17">
        <f>AVERAGE(I25:J25)</f>
        <v>7.2459524921243152E-3</v>
      </c>
      <c r="L25" s="48">
        <f t="shared" si="7"/>
        <v>7.2459524921243152E-3</v>
      </c>
    </row>
    <row r="26" spans="1:12" ht="14.25" customHeight="1" x14ac:dyDescent="0.4">
      <c r="A26" s="18" t="s">
        <v>13</v>
      </c>
      <c r="B26" s="21">
        <v>1.7286321854849775E-2</v>
      </c>
      <c r="C26" s="20">
        <v>3.7898262833995479E-2</v>
      </c>
      <c r="D26" s="20">
        <v>2.4580437362264791E-2</v>
      </c>
      <c r="E26" s="16">
        <f t="shared" si="6"/>
        <v>2.6588340683703349E-2</v>
      </c>
      <c r="F26" s="38"/>
      <c r="G26" s="19">
        <f>411/$G$1</f>
        <v>1.6602706523934557E-2</v>
      </c>
      <c r="H26" s="20">
        <f>479/$H$1</f>
        <v>1.4666258420085732E-2</v>
      </c>
      <c r="I26" s="20">
        <f>571/$I$1</f>
        <v>1.7428728404859289E-2</v>
      </c>
      <c r="J26" s="20">
        <f>618/$J$1</f>
        <v>1.5195849418475989E-2</v>
      </c>
      <c r="K26" s="17">
        <f>AVERAGE(I26:J26)</f>
        <v>1.6312288911667638E-2</v>
      </c>
      <c r="L26" s="48">
        <f t="shared" si="7"/>
        <v>-1.0276051772035711E-2</v>
      </c>
    </row>
    <row r="27" spans="1:12" ht="14.25" customHeight="1" x14ac:dyDescent="0.4">
      <c r="A27" s="18"/>
      <c r="B27" s="22"/>
      <c r="C27" s="4"/>
      <c r="D27" s="4"/>
      <c r="E27" s="23"/>
      <c r="F27" s="39"/>
      <c r="G27" s="22"/>
      <c r="H27" s="4"/>
      <c r="I27" s="4"/>
      <c r="J27" s="4"/>
      <c r="K27" s="24"/>
      <c r="L27" s="48"/>
    </row>
    <row r="28" spans="1:12" ht="14.25" customHeight="1" x14ac:dyDescent="0.4">
      <c r="A28" s="10" t="s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ht="14.25" customHeight="1" x14ac:dyDescent="0.4">
      <c r="A29" s="13" t="s">
        <v>10</v>
      </c>
      <c r="B29" s="14">
        <v>0.32212923583481962</v>
      </c>
      <c r="C29" s="15">
        <v>0.25967905273817871</v>
      </c>
      <c r="D29" s="15">
        <v>0.26089167655534834</v>
      </c>
      <c r="E29" s="16">
        <f>AVERAGE(B29:D29)</f>
        <v>0.28089998837611557</v>
      </c>
      <c r="F29" s="38"/>
      <c r="G29" s="25">
        <v>0.35699999999999998</v>
      </c>
      <c r="H29" s="15">
        <v>0.34899999999999998</v>
      </c>
      <c r="I29" s="15">
        <v>0.34799999999999998</v>
      </c>
      <c r="J29" s="15">
        <v>0.34300000000000003</v>
      </c>
      <c r="K29" s="17">
        <f>AVERAGE(I29:J29)</f>
        <v>0.34550000000000003</v>
      </c>
      <c r="L29" s="48">
        <f>K29-E29</f>
        <v>6.4600011623884457E-2</v>
      </c>
    </row>
    <row r="30" spans="1:12" ht="14.25" customHeight="1" x14ac:dyDescent="0.4">
      <c r="A30" s="18" t="s">
        <v>11</v>
      </c>
      <c r="B30" s="19">
        <v>0.24022499657017424</v>
      </c>
      <c r="C30" s="20">
        <v>0.1701721586040352</v>
      </c>
      <c r="D30" s="20">
        <v>0.20427191049330395</v>
      </c>
      <c r="E30" s="16">
        <f t="shared" ref="E30:E31" si="8">AVERAGE(B30:D30)</f>
        <v>0.20488968855583778</v>
      </c>
      <c r="F30" s="38"/>
      <c r="G30" s="19">
        <f>6620/$G$1</f>
        <v>0.2674207230862452</v>
      </c>
      <c r="H30" s="20">
        <f>8682/$H$1</f>
        <v>0.26582976117575013</v>
      </c>
      <c r="I30" s="20">
        <f>8439/$I$1</f>
        <v>0.25758500702032844</v>
      </c>
      <c r="J30" s="20">
        <f>10539/$J$1</f>
        <v>0.25914086896653471</v>
      </c>
      <c r="K30" s="17">
        <f>AVERAGE(I30:J30)</f>
        <v>0.25836293799343157</v>
      </c>
      <c r="L30" s="48">
        <f t="shared" ref="L30:L32" si="9">K30-E30</f>
        <v>5.3473249437593795E-2</v>
      </c>
    </row>
    <row r="31" spans="1:12" ht="14.25" customHeight="1" x14ac:dyDescent="0.4">
      <c r="A31" s="18" t="s">
        <v>12</v>
      </c>
      <c r="B31" s="19">
        <v>8.1904239264645351E-2</v>
      </c>
      <c r="C31" s="20">
        <v>8.9506894134143491E-2</v>
      </c>
      <c r="D31" s="20">
        <v>5.6619766062044413E-2</v>
      </c>
      <c r="E31" s="16">
        <f t="shared" si="8"/>
        <v>7.6010299820277752E-2</v>
      </c>
      <c r="F31" s="38"/>
      <c r="G31" s="19">
        <f>1476/$G$1</f>
        <v>5.9624318319531411E-2</v>
      </c>
      <c r="H31" s="20">
        <f>1818/$H$1</f>
        <v>5.5664421310471522E-2</v>
      </c>
      <c r="I31" s="20">
        <f>1955/$I$1</f>
        <v>5.9672791648861488E-2</v>
      </c>
      <c r="J31" s="20">
        <f>2259/$J$1</f>
        <v>5.5545993262681649E-2</v>
      </c>
      <c r="K31" s="17">
        <f>AVERAGE(I31:J31)</f>
        <v>5.7609392455771569E-2</v>
      </c>
      <c r="L31" s="48">
        <f t="shared" si="9"/>
        <v>-1.8400907364506183E-2</v>
      </c>
    </row>
    <row r="32" spans="1:12" ht="14.25" customHeight="1" x14ac:dyDescent="0.4">
      <c r="A32" s="18" t="s">
        <v>13</v>
      </c>
      <c r="B32" s="21"/>
      <c r="C32" s="20"/>
      <c r="D32" s="20"/>
      <c r="E32" s="16"/>
      <c r="F32" s="38"/>
      <c r="G32" s="19">
        <f>754/$G$1</f>
        <v>3.0458493233690164E-2</v>
      </c>
      <c r="H32" s="20">
        <f>910/$H$1</f>
        <v>2.7862829148805879E-2</v>
      </c>
      <c r="I32" s="20">
        <f>1005/$I$1</f>
        <v>3.06757829192357E-2</v>
      </c>
      <c r="J32" s="20">
        <f>1134/$J$1</f>
        <v>2.7883646020310311E-2</v>
      </c>
      <c r="K32" s="17">
        <f>AVERAGE(I32:J32)</f>
        <v>2.9279714469773004E-2</v>
      </c>
      <c r="L32" s="48">
        <f t="shared" si="9"/>
        <v>2.9279714469773004E-2</v>
      </c>
    </row>
    <row r="33" spans="1:12" ht="14.25" customHeight="1" x14ac:dyDescent="0.4">
      <c r="A33" s="18"/>
      <c r="B33" s="22"/>
      <c r="C33" s="4"/>
      <c r="D33" s="4"/>
      <c r="E33" s="23"/>
      <c r="F33" s="39"/>
      <c r="G33" s="22"/>
      <c r="H33" s="4"/>
      <c r="I33" s="4"/>
      <c r="J33" s="4"/>
      <c r="K33" s="24"/>
      <c r="L33" s="48"/>
    </row>
    <row r="34" spans="1:12" ht="14.25" customHeight="1" x14ac:dyDescent="0.4">
      <c r="A34" s="10" t="s">
        <v>18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spans="1:12" ht="14.25" customHeight="1" x14ac:dyDescent="0.4">
      <c r="A35" s="13" t="s">
        <v>10</v>
      </c>
      <c r="B35" s="14">
        <v>7.9297571683358492E-2</v>
      </c>
      <c r="C35" s="15">
        <v>6.3605203708031466E-2</v>
      </c>
      <c r="D35" s="15">
        <v>6.1874894049838959E-2</v>
      </c>
      <c r="E35" s="16">
        <f>AVERAGE(B35:D35)</f>
        <v>6.8259223147076303E-2</v>
      </c>
      <c r="F35" s="38"/>
      <c r="G35" s="14">
        <v>4.7E-2</v>
      </c>
      <c r="H35" s="15">
        <v>6.6000000000000003E-2</v>
      </c>
      <c r="I35" s="15">
        <v>5.8999999999999997E-2</v>
      </c>
      <c r="J35" s="15">
        <v>7.1999999999999995E-2</v>
      </c>
      <c r="K35" s="17">
        <f>AVERAGE(I35:J35)</f>
        <v>6.5500000000000003E-2</v>
      </c>
      <c r="L35" s="48">
        <f>K35-E35</f>
        <v>-2.7592231470763007E-3</v>
      </c>
    </row>
    <row r="36" spans="1:12" ht="14.25" customHeight="1" x14ac:dyDescent="0.4">
      <c r="A36" s="18" t="s">
        <v>11</v>
      </c>
      <c r="B36" s="19">
        <v>6.6264233776924128E-2</v>
      </c>
      <c r="C36" s="20">
        <v>4.3000701098387474E-2</v>
      </c>
      <c r="D36" s="20">
        <v>4.8482793693846414E-2</v>
      </c>
      <c r="E36" s="16">
        <f t="shared" ref="E36:E38" si="10">AVERAGE(B36:D36)</f>
        <v>5.2582576189719343E-2</v>
      </c>
      <c r="F36" s="38"/>
      <c r="G36" s="19">
        <f>861/$G$1</f>
        <v>3.4780852353059985E-2</v>
      </c>
      <c r="H36" s="20">
        <f>1627/$H$1</f>
        <v>4.9816289038579299E-2</v>
      </c>
      <c r="I36" s="20">
        <f>1409/$I$1</f>
        <v>4.3007142421097613E-2</v>
      </c>
      <c r="J36" s="20">
        <f>2174/$J$1</f>
        <v>5.345594924881359E-2</v>
      </c>
      <c r="K36" s="17">
        <f>AVERAGE(I36:J36)</f>
        <v>4.8231545834955605E-2</v>
      </c>
      <c r="L36" s="48">
        <f t="shared" ref="L36:L38" si="11">K36-E36</f>
        <v>-4.351030354763738E-3</v>
      </c>
    </row>
    <row r="37" spans="1:12" ht="14.25" customHeight="1" x14ac:dyDescent="0.4">
      <c r="A37" s="18" t="s">
        <v>12</v>
      </c>
      <c r="B37" s="19">
        <v>7.2712306214844282E-3</v>
      </c>
      <c r="C37" s="20">
        <v>9.4258783204798635E-3</v>
      </c>
      <c r="D37" s="20">
        <v>6.1027292761484993E-3</v>
      </c>
      <c r="E37" s="16">
        <f t="shared" si="10"/>
        <v>7.5999460727042651E-3</v>
      </c>
      <c r="F37" s="38"/>
      <c r="G37" s="19">
        <f>227/$G$1</f>
        <v>9.1698646738032717E-3</v>
      </c>
      <c r="H37" s="20">
        <f>446/$H$1</f>
        <v>1.3655848132271893E-2</v>
      </c>
      <c r="I37" s="20">
        <f>410/$I$1</f>
        <v>1.2514498504364813E-2</v>
      </c>
      <c r="J37" s="20">
        <f>619/$J$1</f>
        <v>1.5220438171580319E-2</v>
      </c>
      <c r="K37" s="17">
        <f>AVERAGE(I37:J37)</f>
        <v>1.3867468337972566E-2</v>
      </c>
      <c r="L37" s="48">
        <f t="shared" si="11"/>
        <v>6.2675222652683006E-3</v>
      </c>
    </row>
    <row r="38" spans="1:12" ht="14.25" customHeight="1" x14ac:dyDescent="0.4">
      <c r="A38" s="18" t="s">
        <v>13</v>
      </c>
      <c r="B38" s="21">
        <v>5.7621072849499246E-3</v>
      </c>
      <c r="C38" s="20">
        <v>1.1178624289164135E-2</v>
      </c>
      <c r="D38" s="20">
        <v>7.2893710798440413E-3</v>
      </c>
      <c r="E38" s="16">
        <f t="shared" si="10"/>
        <v>8.0767008846526992E-3</v>
      </c>
      <c r="F38" s="38"/>
      <c r="G38" s="19">
        <f>69/$G$1</f>
        <v>2.7873156937992323E-3</v>
      </c>
      <c r="H38" s="20">
        <f>91/$H$1</f>
        <v>2.7862829148805877E-3</v>
      </c>
      <c r="I38" s="20">
        <f>102/$I$1</f>
        <v>3.1133630425492949E-3</v>
      </c>
      <c r="J38" s="20">
        <f>120/$J$1</f>
        <v>2.9506503725196093E-3</v>
      </c>
      <c r="K38" s="17">
        <f>AVERAGE(I38:J38)</f>
        <v>3.0320067075344523E-3</v>
      </c>
      <c r="L38" s="48">
        <f t="shared" si="11"/>
        <v>-5.0446941771182469E-3</v>
      </c>
    </row>
    <row r="39" spans="1:12" ht="14.25" customHeight="1" x14ac:dyDescent="0.4">
      <c r="A39" s="18"/>
      <c r="B39" s="22"/>
      <c r="C39" s="4"/>
      <c r="D39" s="4"/>
      <c r="E39" s="23"/>
      <c r="F39" s="39"/>
      <c r="G39" s="22"/>
      <c r="H39" s="4"/>
      <c r="I39" s="4"/>
      <c r="J39" s="4"/>
      <c r="K39" s="24"/>
      <c r="L39" s="48"/>
    </row>
    <row r="40" spans="1:12" ht="14.25" customHeight="1" x14ac:dyDescent="0.4">
      <c r="A40" s="10" t="s">
        <v>19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2"/>
    </row>
    <row r="41" spans="1:12" ht="14.25" customHeight="1" x14ac:dyDescent="0.4">
      <c r="A41" s="13" t="s">
        <v>10</v>
      </c>
      <c r="B41" s="14">
        <v>0.25627658114967761</v>
      </c>
      <c r="C41" s="15">
        <v>0.30708109371348447</v>
      </c>
      <c r="D41" s="15">
        <v>0.30411934226140025</v>
      </c>
      <c r="E41" s="16">
        <f>AVERAGE(B41:D41)</f>
        <v>0.28915900570818748</v>
      </c>
      <c r="F41" s="38"/>
      <c r="G41" s="14">
        <v>0.26700000000000002</v>
      </c>
      <c r="H41" s="15">
        <v>0.22500000000000001</v>
      </c>
      <c r="I41" s="15">
        <v>0.25700000000000001</v>
      </c>
      <c r="J41" s="15">
        <v>0.222</v>
      </c>
      <c r="K41" s="17">
        <f>AVERAGE(I41:J41)</f>
        <v>0.23949999999999999</v>
      </c>
      <c r="L41" s="48">
        <f>K41-E41</f>
        <v>-4.9659005708187487E-2</v>
      </c>
    </row>
    <row r="42" spans="1:12" ht="14.25" customHeight="1" x14ac:dyDescent="0.4">
      <c r="A42" s="18" t="s">
        <v>11</v>
      </c>
      <c r="B42" s="19">
        <v>0.11784881328028536</v>
      </c>
      <c r="C42" s="20">
        <v>8.5767702734283705E-2</v>
      </c>
      <c r="D42" s="20">
        <v>9.8830310222071532E-2</v>
      </c>
      <c r="E42" s="16">
        <f t="shared" ref="E42:E44" si="12">AVERAGE(B42:D42)</f>
        <v>0.10081560874554686</v>
      </c>
      <c r="F42" s="38"/>
      <c r="G42" s="19">
        <f>3195/$G$1</f>
        <v>0.12906483538679056</v>
      </c>
      <c r="H42" s="20">
        <f>3460/$H$1</f>
        <v>0.10593998775260258</v>
      </c>
      <c r="I42" s="20">
        <f>4080/$I$1</f>
        <v>0.1245345217019718</v>
      </c>
      <c r="J42" s="20">
        <f>4228/$J$1</f>
        <v>0.10396124812510757</v>
      </c>
      <c r="K42" s="17">
        <f>AVERAGE(I42:J42)</f>
        <v>0.11424788491353968</v>
      </c>
      <c r="L42" s="48">
        <f t="shared" ref="L42:L44" si="13">K42-E42</f>
        <v>1.3432276167992821E-2</v>
      </c>
    </row>
    <row r="43" spans="1:12" ht="14.25" customHeight="1" x14ac:dyDescent="0.4">
      <c r="A43" s="18" t="s">
        <v>12</v>
      </c>
      <c r="B43" s="19">
        <v>7.586774591850734E-2</v>
      </c>
      <c r="C43" s="20">
        <v>8.494975461556438E-2</v>
      </c>
      <c r="D43" s="20">
        <v>8.5268689608408207E-2</v>
      </c>
      <c r="E43" s="16">
        <f t="shared" si="12"/>
        <v>8.2028730047493323E-2</v>
      </c>
      <c r="F43" s="38"/>
      <c r="G43" s="19">
        <f>2555/$G$1</f>
        <v>0.10321147242981216</v>
      </c>
      <c r="H43" s="20">
        <f>2869/$H$1</f>
        <v>8.7844458052663804E-2</v>
      </c>
      <c r="I43" s="20">
        <f>3251/$I$1</f>
        <v>9.9230816189487828E-2</v>
      </c>
      <c r="J43" s="20">
        <f>3534/$J$1</f>
        <v>8.6896653470702495E-2</v>
      </c>
      <c r="K43" s="17">
        <f>AVERAGE(I43:J43)</f>
        <v>9.3063734830095168E-2</v>
      </c>
      <c r="L43" s="48">
        <f t="shared" si="13"/>
        <v>1.1035004782601845E-2</v>
      </c>
    </row>
    <row r="44" spans="1:12" ht="14.25" customHeight="1" x14ac:dyDescent="0.4">
      <c r="A44" s="18" t="s">
        <v>13</v>
      </c>
      <c r="B44" s="21">
        <v>6.2560021950884892E-2</v>
      </c>
      <c r="C44" s="20">
        <v>0.13636363636363635</v>
      </c>
      <c r="D44" s="20">
        <v>0.1200203424309205</v>
      </c>
      <c r="E44" s="16">
        <f t="shared" si="12"/>
        <v>0.10631466691514724</v>
      </c>
      <c r="F44" s="38"/>
      <c r="G44" s="19">
        <f>866/$G$1</f>
        <v>3.4982831751161382E-2</v>
      </c>
      <c r="H44" s="20">
        <f>1021/$H$1</f>
        <v>3.1261481935088792E-2</v>
      </c>
      <c r="I44" s="20">
        <f>1102/$I$1</f>
        <v>3.3636530126365909E-2</v>
      </c>
      <c r="J44" s="20">
        <f>1258/$J$1</f>
        <v>3.0932651405247241E-2</v>
      </c>
      <c r="K44" s="17">
        <f>AVERAGE(I44:J44)</f>
        <v>3.2284590765806573E-2</v>
      </c>
      <c r="L44" s="48">
        <f t="shared" si="13"/>
        <v>-7.4030076149340665E-2</v>
      </c>
    </row>
    <row r="45" spans="1:12" ht="14.25" customHeight="1" x14ac:dyDescent="0.4">
      <c r="A45" s="18"/>
      <c r="B45" s="22"/>
      <c r="C45" s="4"/>
      <c r="D45" s="4"/>
      <c r="E45" s="23"/>
      <c r="F45" s="39"/>
      <c r="G45" s="22"/>
      <c r="H45" s="4"/>
      <c r="I45" s="4"/>
      <c r="J45" s="4"/>
      <c r="K45" s="24"/>
      <c r="L45" s="48"/>
    </row>
    <row r="46" spans="1:12" ht="14.25" customHeight="1" x14ac:dyDescent="0.4">
      <c r="A46" s="10" t="s">
        <v>20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2"/>
    </row>
    <row r="47" spans="1:12" ht="14.25" customHeight="1" x14ac:dyDescent="0.4">
      <c r="A47" s="13" t="s">
        <v>10</v>
      </c>
      <c r="B47" s="14">
        <v>7.6004938949101389E-2</v>
      </c>
      <c r="C47" s="15">
        <v>5.7295318220768089E-2</v>
      </c>
      <c r="D47" s="15">
        <v>8.0522122393626036E-2</v>
      </c>
      <c r="E47" s="16">
        <f>AVERAGE(B47:D47)</f>
        <v>7.1274126521165174E-2</v>
      </c>
      <c r="F47" s="38"/>
      <c r="G47" s="14">
        <v>8.1000000000000003E-2</v>
      </c>
      <c r="H47" s="15">
        <v>0.1</v>
      </c>
      <c r="I47" s="15">
        <v>7.9000000000000001E-2</v>
      </c>
      <c r="J47" s="15">
        <v>9.8000000000000004E-2</v>
      </c>
      <c r="K47" s="17">
        <f>AVERAGE(I47:J47)</f>
        <v>8.8499999999999995E-2</v>
      </c>
      <c r="L47" s="48">
        <f>K47-E47</f>
        <v>1.7225873478834822E-2</v>
      </c>
    </row>
    <row r="48" spans="1:12" ht="14.25" customHeight="1" x14ac:dyDescent="0.4">
      <c r="A48" s="18" t="s">
        <v>11</v>
      </c>
      <c r="B48" s="19">
        <v>5.5974756482370693E-2</v>
      </c>
      <c r="C48" s="20">
        <v>3.8755160863130016E-2</v>
      </c>
      <c r="D48" s="20">
        <v>6.4417697914900832E-2</v>
      </c>
      <c r="E48" s="16">
        <f t="shared" ref="E48:E49" si="14">AVERAGE(B48:D48)</f>
        <v>5.304920508680052E-2</v>
      </c>
      <c r="F48" s="38"/>
      <c r="G48" s="19">
        <f>1685/$G$1</f>
        <v>6.8067057160169669E-2</v>
      </c>
      <c r="H48" s="20">
        <f>2731/$H$1</f>
        <v>8.3619105939987753E-2</v>
      </c>
      <c r="I48" s="20">
        <f>2174/$I$1</f>
        <v>6.635736524021732E-2</v>
      </c>
      <c r="J48" s="20">
        <f>3327/$J$1</f>
        <v>8.1806781578106169E-2</v>
      </c>
      <c r="K48" s="17">
        <f>AVERAGE(I48:J48)</f>
        <v>7.4082073409161744E-2</v>
      </c>
      <c r="L48" s="48">
        <f t="shared" ref="L48:L50" si="15">K48-E48</f>
        <v>2.1032868322361224E-2</v>
      </c>
    </row>
    <row r="49" spans="1:12" ht="14.25" customHeight="1" x14ac:dyDescent="0.4">
      <c r="A49" s="18" t="s">
        <v>12</v>
      </c>
      <c r="B49" s="19">
        <v>2.0030182466730689E-2</v>
      </c>
      <c r="C49" s="20">
        <v>1.8540157357638077E-2</v>
      </c>
      <c r="D49" s="20">
        <v>1.6104424478725208E-2</v>
      </c>
      <c r="E49" s="16">
        <f t="shared" si="14"/>
        <v>1.8224921434364657E-2</v>
      </c>
      <c r="F49" s="38"/>
      <c r="G49" s="19">
        <f>308/$G$1</f>
        <v>1.244193092304585E-2</v>
      </c>
      <c r="H49" s="20">
        <f>518/$H$1</f>
        <v>1.586037966932027E-2</v>
      </c>
      <c r="I49" s="20">
        <f>408/$I$1</f>
        <v>1.245345217019718E-2</v>
      </c>
      <c r="J49" s="20">
        <f>629/$J$1</f>
        <v>1.546632570262362E-2</v>
      </c>
      <c r="K49" s="17">
        <f>AVERAGE(I49:J49)</f>
        <v>1.3959888936410401E-2</v>
      </c>
      <c r="L49" s="48">
        <f t="shared" si="15"/>
        <v>-4.2650324979542562E-3</v>
      </c>
    </row>
    <row r="50" spans="1:12" ht="14.25" customHeight="1" x14ac:dyDescent="0.4">
      <c r="A50" s="18" t="s">
        <v>13</v>
      </c>
      <c r="B50" s="21"/>
      <c r="C50" s="20"/>
      <c r="D50" s="20"/>
      <c r="E50" s="16"/>
      <c r="F50" s="38"/>
      <c r="G50" s="19">
        <f>14/$G$1</f>
        <v>5.6554231468390224E-4</v>
      </c>
      <c r="H50" s="20">
        <f>21/$H$1</f>
        <v>6.4298836497244337E-4</v>
      </c>
      <c r="I50" s="20">
        <f>19/$I$1</f>
        <v>5.7994017459251572E-4</v>
      </c>
      <c r="J50" s="20">
        <f>27/$J$1</f>
        <v>6.6389633381691213E-4</v>
      </c>
      <c r="K50" s="17">
        <f>AVERAGE(I50:J50)</f>
        <v>6.2191825420471387E-4</v>
      </c>
      <c r="L50" s="48">
        <f t="shared" si="15"/>
        <v>6.2191825420471387E-4</v>
      </c>
    </row>
    <row r="51" spans="1:12" ht="14.25" customHeight="1" x14ac:dyDescent="0.4">
      <c r="A51" s="18"/>
      <c r="B51" s="22"/>
      <c r="C51" s="4"/>
      <c r="D51" s="4"/>
      <c r="E51" s="23"/>
      <c r="F51" s="39"/>
      <c r="G51" s="22"/>
      <c r="H51" s="4"/>
      <c r="I51" s="4"/>
      <c r="J51" s="4"/>
      <c r="K51" s="24"/>
      <c r="L51" s="48"/>
    </row>
    <row r="52" spans="1:12" ht="14.25" customHeight="1" x14ac:dyDescent="0.4">
      <c r="A52" s="10" t="s">
        <v>21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2"/>
    </row>
    <row r="53" spans="1:12" ht="14.25" customHeight="1" x14ac:dyDescent="0.4">
      <c r="A53" s="13" t="s">
        <v>10</v>
      </c>
      <c r="B53" s="14">
        <v>0</v>
      </c>
      <c r="C53" s="15">
        <v>2.4655293292825425E-2</v>
      </c>
      <c r="D53" s="15">
        <v>1.6612985251737582E-2</v>
      </c>
      <c r="E53" s="16">
        <f>AVERAGE(B53:D53)</f>
        <v>1.375609284818767E-2</v>
      </c>
      <c r="F53" s="38"/>
      <c r="G53" s="14">
        <v>3.4000000000000002E-2</v>
      </c>
      <c r="H53" s="15">
        <v>3.4000000000000002E-2</v>
      </c>
      <c r="I53" s="15">
        <v>3.3000000000000002E-2</v>
      </c>
      <c r="J53" s="15">
        <v>3.4000000000000002E-2</v>
      </c>
      <c r="K53" s="17">
        <f>AVERAGE(I53:J53)</f>
        <v>3.3500000000000002E-2</v>
      </c>
      <c r="L53" s="48">
        <f>K53-E53</f>
        <v>1.9743907151812332E-2</v>
      </c>
    </row>
    <row r="54" spans="1:12" ht="14.25" customHeight="1" x14ac:dyDescent="0.4">
      <c r="A54" s="18" t="s">
        <v>11</v>
      </c>
      <c r="B54" s="19">
        <v>0</v>
      </c>
      <c r="C54" s="20">
        <v>0</v>
      </c>
      <c r="D54" s="20">
        <v>0</v>
      </c>
      <c r="E54" s="16">
        <f t="shared" ref="E54:E57" si="16">AVERAGE(B54:D54)</f>
        <v>0</v>
      </c>
      <c r="F54" s="38"/>
      <c r="G54" s="19">
        <f>127/$G$1</f>
        <v>5.1302767117753986E-3</v>
      </c>
      <c r="H54" s="20">
        <f>154/$H$1</f>
        <v>4.7152480097979177E-3</v>
      </c>
      <c r="I54" s="20">
        <f>163/$I$1</f>
        <v>4.9752762346621082E-3</v>
      </c>
      <c r="J54" s="20">
        <f>188/$J$1</f>
        <v>4.6226855836140552E-3</v>
      </c>
      <c r="K54" s="17">
        <f>AVERAGE(I54:J54)</f>
        <v>4.7989809091380821E-3</v>
      </c>
      <c r="L54" s="48">
        <f t="shared" ref="L54:L57" si="17">K54-E54</f>
        <v>4.7989809091380821E-3</v>
      </c>
    </row>
    <row r="55" spans="1:12" ht="14.25" customHeight="1" x14ac:dyDescent="0.4">
      <c r="A55" s="18" t="s">
        <v>12</v>
      </c>
      <c r="B55" s="19">
        <v>0</v>
      </c>
      <c r="C55" s="20">
        <v>0</v>
      </c>
      <c r="D55" s="20">
        <v>2.7123241227326664E-3</v>
      </c>
      <c r="E55" s="16">
        <f t="shared" si="16"/>
        <v>9.0410804091088876E-4</v>
      </c>
      <c r="F55" s="38"/>
      <c r="G55" s="19">
        <f>138/$G$1</f>
        <v>5.5746313875984646E-3</v>
      </c>
      <c r="H55" s="20">
        <f>162/$H$1</f>
        <v>4.9601959583588486E-3</v>
      </c>
      <c r="I55" s="20">
        <f>177/$I$1</f>
        <v>5.4026005738355412E-3</v>
      </c>
      <c r="J55" s="20">
        <f>198/$J$1</f>
        <v>4.8685731146573558E-3</v>
      </c>
      <c r="K55" s="17">
        <f>AVERAGE(I55:J55)</f>
        <v>5.1355868442464481E-3</v>
      </c>
      <c r="L55" s="48">
        <f t="shared" si="17"/>
        <v>4.231478803335559E-3</v>
      </c>
    </row>
    <row r="56" spans="1:12" ht="14.25" customHeight="1" x14ac:dyDescent="0.4">
      <c r="A56" s="18" t="s">
        <v>13</v>
      </c>
      <c r="B56" s="21">
        <v>0</v>
      </c>
      <c r="C56" s="20">
        <v>2.4655293292825425E-2</v>
      </c>
      <c r="D56" s="20">
        <v>1.3900661129004916E-2</v>
      </c>
      <c r="E56" s="16">
        <f t="shared" si="16"/>
        <v>1.2851984807276779E-2</v>
      </c>
      <c r="F56" s="38"/>
      <c r="G56" s="19">
        <f>21/$G$1</f>
        <v>8.4831347202585336E-4</v>
      </c>
      <c r="H56" s="20">
        <f>22/$H$1</f>
        <v>6.7360685854255973E-4</v>
      </c>
      <c r="I56" s="20">
        <f>28/$I$1</f>
        <v>8.5464867834686529E-4</v>
      </c>
      <c r="J56" s="20">
        <f>27/$J$1</f>
        <v>6.6389633381691213E-4</v>
      </c>
      <c r="K56" s="17">
        <f>AVERAGE(I56:J56)</f>
        <v>7.5927250608188871E-4</v>
      </c>
      <c r="L56" s="48">
        <f t="shared" si="17"/>
        <v>-1.209271230119489E-2</v>
      </c>
    </row>
    <row r="57" spans="1:12" ht="14.25" customHeight="1" x14ac:dyDescent="0.4">
      <c r="A57" s="18" t="s">
        <v>22</v>
      </c>
      <c r="B57" s="19">
        <v>0</v>
      </c>
      <c r="C57" s="20">
        <v>0</v>
      </c>
      <c r="D57" s="20">
        <v>0</v>
      </c>
      <c r="E57" s="16">
        <f t="shared" si="16"/>
        <v>0</v>
      </c>
      <c r="F57" s="38"/>
      <c r="G57" s="26">
        <f>553/$G$1</f>
        <v>2.233892143001414E-2</v>
      </c>
      <c r="H57" s="27">
        <f>787/$H$1</f>
        <v>2.4096754439681567E-2</v>
      </c>
      <c r="I57" s="27">
        <f>719/I1</f>
        <v>2.1946157133264147E-2</v>
      </c>
      <c r="J57" s="27">
        <f>977/$J$1</f>
        <v>2.4023211782930487E-2</v>
      </c>
      <c r="K57" s="17">
        <f>AVERAGE(I57:J57)</f>
        <v>2.2984684458097315E-2</v>
      </c>
      <c r="L57" s="48">
        <f t="shared" si="17"/>
        <v>2.2984684458097315E-2</v>
      </c>
    </row>
    <row r="58" spans="1:12" ht="14.25" customHeight="1" x14ac:dyDescent="0.4">
      <c r="A58" s="28" t="s">
        <v>23</v>
      </c>
      <c r="B58" s="29">
        <f>B5+B11+B17+B23+B29+B35+B41+B47+B53</f>
        <v>1</v>
      </c>
      <c r="C58" s="30">
        <f>C5+C11+C17+C23+C29+C35+C41+C47+C53</f>
        <v>1</v>
      </c>
      <c r="D58" s="30">
        <f>D5+D11+D17+D23+D29+D35+D41+D47+D53</f>
        <v>0.99999999999999989</v>
      </c>
      <c r="E58" s="31">
        <f>E5+E11+E17+E23+E29+E35+E41+E47+E53</f>
        <v>1.0000000000000002</v>
      </c>
      <c r="F58" s="40"/>
      <c r="G58" s="32">
        <f>SUM(G5:G57)/2</f>
        <v>1.00004039587962</v>
      </c>
      <c r="H58" s="33">
        <f>SUM(H5:H57)/2</f>
        <v>0.99904592774035517</v>
      </c>
      <c r="I58" s="33">
        <f>SUM(I5:I57)/2</f>
        <v>1</v>
      </c>
      <c r="J58" s="33">
        <f>SUM(J5:J57)/2</f>
        <v>0.99999999999999989</v>
      </c>
      <c r="K58" s="34">
        <f>K5+K11+K17+K23+K29+K35+K41+K47+K53</f>
        <v>1.0000000000000002</v>
      </c>
      <c r="L58" s="35">
        <f>L5+L11+L17+L23+L29+L35+L41+L47+L53</f>
        <v>-2.7755575615628914E-17</v>
      </c>
    </row>
  </sheetData>
  <mergeCells count="12">
    <mergeCell ref="A40:L40"/>
    <mergeCell ref="A46:L46"/>
    <mergeCell ref="A52:L52"/>
    <mergeCell ref="B2:E2"/>
    <mergeCell ref="G2:K2"/>
    <mergeCell ref="L2:L3"/>
    <mergeCell ref="A4:L4"/>
    <mergeCell ref="A10:L10"/>
    <mergeCell ref="A16:L16"/>
    <mergeCell ref="A22:L22"/>
    <mergeCell ref="A28:L28"/>
    <mergeCell ref="A34:L34"/>
  </mergeCells>
  <conditionalFormatting sqref="L5:L9 L11:L15 L17:L21 L23:L27 L29:L33 L35:L39 L41:L45 L47:L51 L53:L5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Juntunen Teemu</dc:creator>
  <cp:lastModifiedBy>Juntunen Teemu</cp:lastModifiedBy>
  <dcterms:created xsi:type="dcterms:W3CDTF">2018-09-18T10:07:53Z</dcterms:created>
  <dcterms:modified xsi:type="dcterms:W3CDTF">2018-09-18T10:27:30Z</dcterms:modified>
</cp:coreProperties>
</file>